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.eos\lockers\people\k\kay\www\ise453\soln\"/>
    </mc:Choice>
  </mc:AlternateContent>
  <bookViews>
    <workbookView xWindow="0" yWindow="0" windowWidth="28800" windowHeight="12300"/>
  </bookViews>
  <sheets>
    <sheet name="ICA 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8" i="2" s="1"/>
  <c r="C23" i="2"/>
  <c r="C24" i="2" s="1"/>
  <c r="B23" i="2"/>
  <c r="B24" i="2" s="1"/>
  <c r="C20" i="2"/>
  <c r="C19" i="2"/>
  <c r="D15" i="2"/>
  <c r="D20" i="2" s="1"/>
  <c r="B13" i="2"/>
  <c r="B11" i="2"/>
  <c r="B12" i="2" s="1"/>
  <c r="C10" i="2"/>
  <c r="C9" i="2"/>
  <c r="C40" i="2" s="1"/>
  <c r="B9" i="2"/>
  <c r="B14" i="2" s="1"/>
  <c r="B16" i="2" s="1"/>
  <c r="B8" i="2"/>
  <c r="C5" i="2"/>
  <c r="C4" i="2"/>
  <c r="D4" i="2" s="1"/>
  <c r="C3" i="2"/>
  <c r="C2" i="2"/>
  <c r="D2" i="2" s="1"/>
  <c r="C14" i="2" l="1"/>
  <c r="C16" i="2" s="1"/>
  <c r="C36" i="2"/>
  <c r="D9" i="2"/>
  <c r="C38" i="2"/>
  <c r="D3" i="2"/>
  <c r="B18" i="2"/>
  <c r="B17" i="2"/>
  <c r="B32" i="2"/>
  <c r="B33" i="2" s="1"/>
  <c r="B30" i="2"/>
  <c r="B25" i="2"/>
  <c r="B38" i="2"/>
  <c r="C13" i="2"/>
  <c r="D5" i="2"/>
  <c r="C11" i="2"/>
  <c r="D24" i="2"/>
  <c r="B36" i="2"/>
  <c r="B37" i="2" s="1"/>
  <c r="B39" i="2" s="1"/>
  <c r="B40" i="2"/>
  <c r="D10" i="2"/>
  <c r="D19" i="2"/>
  <c r="B29" i="2"/>
  <c r="D14" i="2" l="1"/>
  <c r="D16" i="2" s="1"/>
  <c r="C18" i="2"/>
  <c r="C37" i="2"/>
  <c r="C39" i="2" s="1"/>
  <c r="C25" i="2"/>
  <c r="B31" i="2"/>
  <c r="D25" i="2"/>
  <c r="C12" i="2"/>
  <c r="C32" i="2"/>
  <c r="D11" i="2"/>
  <c r="B26" i="2"/>
  <c r="B34" i="2"/>
  <c r="B35" i="2" s="1"/>
  <c r="C26" i="2" l="1"/>
  <c r="C33" i="2"/>
  <c r="C34" i="2"/>
  <c r="D12" i="2"/>
  <c r="D32" i="2" s="1"/>
  <c r="B42" i="2"/>
  <c r="D18" i="2"/>
  <c r="D26" i="2" s="1"/>
  <c r="D33" i="2" l="1"/>
  <c r="D34" i="2"/>
  <c r="C35" i="2"/>
  <c r="D35" i="2" l="1"/>
  <c r="D42" i="2" s="1"/>
  <c r="C42" i="2"/>
  <c r="C44" i="2"/>
  <c r="D45" i="2" l="1"/>
</calcChain>
</file>

<file path=xl/sharedStrings.xml><?xml version="1.0" encoding="utf-8"?>
<sst xmlns="http://schemas.openxmlformats.org/spreadsheetml/2006/main" count="110" uniqueCount="88">
  <si>
    <t>A</t>
  </si>
  <si>
    <t>B</t>
  </si>
  <si>
    <t>Agg. A&amp;B</t>
  </si>
  <si>
    <t>PPI_TL</t>
  </si>
  <si>
    <t>Dec 19 (P)</t>
  </si>
  <si>
    <t>Prod Price Index for TL</t>
  </si>
  <si>
    <t>PPI_LTL</t>
  </si>
  <si>
    <t>Prod Price Index for LTL</t>
  </si>
  <si>
    <t>Kwt</t>
  </si>
  <si>
    <t>ton</t>
  </si>
  <si>
    <t>Physical weight capacity</t>
  </si>
  <si>
    <t>Kcu</t>
  </si>
  <si>
    <t>ft^3</t>
  </si>
  <si>
    <t>Effective cube capacity</t>
  </si>
  <si>
    <t>unit cube</t>
  </si>
  <si>
    <t>unit weight</t>
  </si>
  <si>
    <t>lb</t>
  </si>
  <si>
    <t>unit value</t>
  </si>
  <si>
    <t>$</t>
  </si>
  <si>
    <t>s</t>
  </si>
  <si>
    <t>lb/ft^3</t>
  </si>
  <si>
    <t>Density</t>
  </si>
  <si>
    <t>d</t>
  </si>
  <si>
    <t>mi</t>
  </si>
  <si>
    <t>Distance</t>
  </si>
  <si>
    <t>rTL</t>
  </si>
  <si>
    <t>$/mi</t>
  </si>
  <si>
    <t>TL rev per loaded tr-mi</t>
  </si>
  <si>
    <t>qmax</t>
  </si>
  <si>
    <t>Max payload</t>
  </si>
  <si>
    <t>rLTL</t>
  </si>
  <si>
    <t>$/ton-mi</t>
  </si>
  <si>
    <t>MC_TL</t>
  </si>
  <si>
    <t>Min charge TL</t>
  </si>
  <si>
    <t>MC_LTL</t>
  </si>
  <si>
    <t>Min charge LTL</t>
  </si>
  <si>
    <t>f</t>
  </si>
  <si>
    <t>ton/yr</t>
  </si>
  <si>
    <t>Annual demand</t>
  </si>
  <si>
    <t>n</t>
  </si>
  <si>
    <t>per yr</t>
  </si>
  <si>
    <t>w</t>
  </si>
  <si>
    <t>Monetary weight</t>
  </si>
  <si>
    <t>TC_FTL</t>
  </si>
  <si>
    <t>a</t>
  </si>
  <si>
    <t>Inventory fraction</t>
  </si>
  <si>
    <t>v</t>
  </si>
  <si>
    <t>$/ton</t>
  </si>
  <si>
    <t>Value per ton</t>
  </si>
  <si>
    <t>xh</t>
  </si>
  <si>
    <t>Percent reduction in value</t>
  </si>
  <si>
    <t>th</t>
  </si>
  <si>
    <t>yr</t>
  </si>
  <si>
    <t>Reduction time interval</t>
  </si>
  <si>
    <t>hobs</t>
  </si>
  <si>
    <t>1/yr</t>
  </si>
  <si>
    <t>Obsolesence rate</t>
  </si>
  <si>
    <t>h</t>
  </si>
  <si>
    <t>Inv rate (hinv=0.05,hwh=0.06)</t>
  </si>
  <si>
    <t>IC_FTL</t>
  </si>
  <si>
    <t>TLC_FTL</t>
  </si>
  <si>
    <t>TLC Full Truckload</t>
  </si>
  <si>
    <t>t_max</t>
  </si>
  <si>
    <t>yr/TL</t>
  </si>
  <si>
    <t>1-month interval constraint</t>
  </si>
  <si>
    <t>n_min</t>
  </si>
  <si>
    <t>TL/yr</t>
  </si>
  <si>
    <t>TC_1mo</t>
  </si>
  <si>
    <t>IC_1mo</t>
  </si>
  <si>
    <t>TLC_1mo</t>
  </si>
  <si>
    <t>TLC 1-mo interval constraint</t>
  </si>
  <si>
    <t>q*TL</t>
  </si>
  <si>
    <t>Optimal TL size</t>
  </si>
  <si>
    <t>TC_TL</t>
  </si>
  <si>
    <t>IC_TL</t>
  </si>
  <si>
    <t>TLC*_TL</t>
  </si>
  <si>
    <t>TLC Optimal TL</t>
  </si>
  <si>
    <t>TC_LTL</t>
  </si>
  <si>
    <t>IC_LTL</t>
  </si>
  <si>
    <t>TLC*_LTL</t>
  </si>
  <si>
    <t>TLC Optimal LTL</t>
  </si>
  <si>
    <t>qLTLmax</t>
  </si>
  <si>
    <t>q*LTL</t>
  </si>
  <si>
    <t>Optimal LTL size</t>
  </si>
  <si>
    <t>Min TLC</t>
  </si>
  <si>
    <t>TL</t>
  </si>
  <si>
    <t>Min TLC A+B</t>
  </si>
  <si>
    <t>TLC A+B - A&amp;B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</si>
</sst>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2" borderId="0" xfId="0" applyNumberFormat="1" applyFill="1"/>
    <xf numFmtId="164" fontId="0" fillId="0" borderId="0" xfId="0" applyNumberFormat="1"/>
    <xf numFmtId="16" fontId="2" fillId="0" borderId="0" xfId="0" quotePrefix="1" applyNumberFormat="1" applyFont="1" applyAlignment="1">
      <alignment horizontal="left"/>
    </xf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horizontal="right"/>
    </xf>
    <xf numFmtId="0" fontId="0" fillId="3" borderId="0" xfId="0" applyFill="1"/>
    <xf numFmtId="165" fontId="0" fillId="0" borderId="0" xfId="0" applyNumberFormat="1" applyFill="1"/>
    <xf numFmtId="165" fontId="0" fillId="0" borderId="0" xfId="0" applyNumberFormat="1"/>
    <xf numFmtId="0" fontId="0" fillId="0" borderId="0" xfId="0" applyFill="1"/>
    <xf numFmtId="2" fontId="0" fillId="0" borderId="0" xfId="0" applyNumberFormat="1"/>
    <xf numFmtId="0" fontId="2" fillId="0" borderId="0" xfId="0" quotePrefix="1" applyFont="1"/>
    <xf numFmtId="0" fontId="0" fillId="0" borderId="1" xfId="0" applyBorder="1"/>
    <xf numFmtId="0" fontId="2" fillId="0" borderId="0" xfId="0" applyFont="1" applyFill="1" applyBorder="1"/>
    <xf numFmtId="2" fontId="0" fillId="0" borderId="1" xfId="0" applyNumberFormat="1" applyBorder="1"/>
    <xf numFmtId="2" fontId="0" fillId="0" borderId="0" xfId="0" applyNumberFormat="1" applyBorder="1"/>
    <xf numFmtId="2" fontId="2" fillId="0" borderId="2" xfId="0" applyNumberFormat="1" applyFont="1" applyBorder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B2" sqref="B2"/>
    </sheetView>
  </sheetViews>
  <sheetFormatPr defaultRowHeight="15" x14ac:dyDescent="0.25"/>
  <cols>
    <col min="1" max="1" width="14.5703125" style="4" customWidth="1"/>
    <col min="2" max="2" width="17.5703125" customWidth="1"/>
    <col min="3" max="3" width="14.140625" customWidth="1"/>
    <col min="4" max="4" width="21.28515625" customWidth="1"/>
    <col min="5" max="5" width="6.5703125" customWidth="1"/>
    <col min="6" max="6" width="25.140625" customWidth="1"/>
    <col min="7" max="7" width="13.140625" customWidth="1"/>
  </cols>
  <sheetData>
    <row r="1" spans="1:6" s="1" customFormat="1" ht="12.75" x14ac:dyDescent="0.2">
      <c r="B1" s="2" t="s">
        <v>0</v>
      </c>
      <c r="C1" s="3" t="s">
        <v>1</v>
      </c>
      <c r="D1" s="3" t="s">
        <v>2</v>
      </c>
    </row>
    <row r="2" spans="1:6" x14ac:dyDescent="0.25">
      <c r="A2" s="4" t="s">
        <v>3</v>
      </c>
      <c r="B2" s="5">
        <v>140.19999999999999</v>
      </c>
      <c r="C2" s="6">
        <f>B2</f>
        <v>140.19999999999999</v>
      </c>
      <c r="D2" s="6">
        <f>C2</f>
        <v>140.19999999999999</v>
      </c>
      <c r="E2" s="7" t="s">
        <v>4</v>
      </c>
      <c r="F2" s="8" t="s">
        <v>5</v>
      </c>
    </row>
    <row r="3" spans="1:6" x14ac:dyDescent="0.25">
      <c r="A3" s="4" t="s">
        <v>6</v>
      </c>
      <c r="B3" s="9">
        <v>184.6</v>
      </c>
      <c r="C3" s="6">
        <f t="shared" ref="C3:C5" si="0">B3</f>
        <v>184.6</v>
      </c>
      <c r="D3" s="6">
        <f>C3</f>
        <v>184.6</v>
      </c>
      <c r="E3" s="7" t="s">
        <v>4</v>
      </c>
      <c r="F3" s="8" t="s">
        <v>7</v>
      </c>
    </row>
    <row r="4" spans="1:6" x14ac:dyDescent="0.25">
      <c r="A4" s="4" t="s">
        <v>8</v>
      </c>
      <c r="B4" s="9">
        <v>25</v>
      </c>
      <c r="C4" s="6">
        <f t="shared" si="0"/>
        <v>25</v>
      </c>
      <c r="D4" s="6">
        <f>C4</f>
        <v>25</v>
      </c>
      <c r="E4" t="s">
        <v>9</v>
      </c>
      <c r="F4" s="8" t="s">
        <v>10</v>
      </c>
    </row>
    <row r="5" spans="1:6" x14ac:dyDescent="0.25">
      <c r="A5" s="4" t="s">
        <v>11</v>
      </c>
      <c r="B5" s="9">
        <v>2750</v>
      </c>
      <c r="C5" s="6">
        <f t="shared" si="0"/>
        <v>2750</v>
      </c>
      <c r="D5" s="6">
        <f>C5</f>
        <v>2750</v>
      </c>
      <c r="E5" s="8" t="s">
        <v>12</v>
      </c>
      <c r="F5" s="8" t="s">
        <v>13</v>
      </c>
    </row>
    <row r="6" spans="1:6" x14ac:dyDescent="0.25">
      <c r="A6" s="10" t="s">
        <v>14</v>
      </c>
      <c r="B6" s="9">
        <v>6</v>
      </c>
      <c r="C6" s="11">
        <v>15</v>
      </c>
      <c r="E6" s="8" t="s">
        <v>12</v>
      </c>
    </row>
    <row r="7" spans="1:6" x14ac:dyDescent="0.25">
      <c r="A7" s="10" t="s">
        <v>15</v>
      </c>
      <c r="B7" s="9">
        <v>67</v>
      </c>
      <c r="C7" s="11">
        <v>80</v>
      </c>
      <c r="E7" s="8" t="s">
        <v>16</v>
      </c>
    </row>
    <row r="8" spans="1:6" x14ac:dyDescent="0.25">
      <c r="A8" s="10" t="s">
        <v>17</v>
      </c>
      <c r="B8">
        <f>B7*B20/2000</f>
        <v>3015</v>
      </c>
      <c r="C8" s="11">
        <v>1000</v>
      </c>
      <c r="E8" s="8" t="s">
        <v>18</v>
      </c>
    </row>
    <row r="9" spans="1:6" x14ac:dyDescent="0.25">
      <c r="A9" s="4" t="s">
        <v>19</v>
      </c>
      <c r="B9" s="12">
        <f>B7/B6</f>
        <v>11.166666666666666</v>
      </c>
      <c r="C9" s="12">
        <f>C7/C6</f>
        <v>5.333333333333333</v>
      </c>
      <c r="D9" s="12">
        <f>$D15/(B15/B9+C15/C9)</f>
        <v>9.4449339207048464</v>
      </c>
      <c r="E9" s="8" t="s">
        <v>20</v>
      </c>
      <c r="F9" s="8" t="s">
        <v>21</v>
      </c>
    </row>
    <row r="10" spans="1:6" x14ac:dyDescent="0.25">
      <c r="A10" s="4" t="s">
        <v>22</v>
      </c>
      <c r="B10" s="9">
        <v>688</v>
      </c>
      <c r="C10">
        <f>B10</f>
        <v>688</v>
      </c>
      <c r="D10">
        <f>C10</f>
        <v>688</v>
      </c>
      <c r="E10" t="s">
        <v>23</v>
      </c>
      <c r="F10" s="8" t="s">
        <v>24</v>
      </c>
    </row>
    <row r="11" spans="1:6" x14ac:dyDescent="0.25">
      <c r="A11" s="4" t="s">
        <v>25</v>
      </c>
      <c r="B11" s="13">
        <f>2*(B2/102.7)</f>
        <v>2.7302823758519956</v>
      </c>
      <c r="C11" s="13">
        <f>B11</f>
        <v>2.7302823758519956</v>
      </c>
      <c r="D11" s="13">
        <f>C11</f>
        <v>2.7302823758519956</v>
      </c>
      <c r="E11" t="s">
        <v>26</v>
      </c>
      <c r="F11" s="8" t="s">
        <v>27</v>
      </c>
    </row>
    <row r="12" spans="1:6" x14ac:dyDescent="0.25">
      <c r="A12" s="10" t="s">
        <v>32</v>
      </c>
      <c r="B12" s="15">
        <f>(B11/2)*45</f>
        <v>61.431353456669903</v>
      </c>
      <c r="C12" s="15">
        <f>(C11/2)*45</f>
        <v>61.431353456669903</v>
      </c>
      <c r="D12" s="15">
        <f>(D11/2)*45</f>
        <v>61.431353456669903</v>
      </c>
      <c r="E12" s="8" t="s">
        <v>18</v>
      </c>
      <c r="F12" s="8" t="s">
        <v>33</v>
      </c>
    </row>
    <row r="13" spans="1:6" x14ac:dyDescent="0.25">
      <c r="A13" s="10" t="s">
        <v>34</v>
      </c>
      <c r="B13" s="15">
        <f>(B3/104.2)*(45+B10^(28/19)/1625)</f>
        <v>96.287774228591061</v>
      </c>
      <c r="C13" s="15">
        <f>(C3/104.2)*(45+C10^(28/19)/1625)</f>
        <v>96.287774228591061</v>
      </c>
      <c r="E13" s="8" t="s">
        <v>18</v>
      </c>
      <c r="F13" s="8" t="s">
        <v>35</v>
      </c>
    </row>
    <row r="14" spans="1:6" x14ac:dyDescent="0.25">
      <c r="A14" s="4" t="s">
        <v>28</v>
      </c>
      <c r="B14" s="13">
        <f>MIN(B4,B9*B5/2000)</f>
        <v>15.354166666666666</v>
      </c>
      <c r="C14" s="13">
        <f>MIN(C4,C9*C5/2000)</f>
        <v>7.333333333333333</v>
      </c>
      <c r="D14" s="13">
        <f>MIN(D4,D9*D5/2000)</f>
        <v>12.986784140969165</v>
      </c>
      <c r="E14" t="s">
        <v>9</v>
      </c>
      <c r="F14" s="8" t="s">
        <v>29</v>
      </c>
    </row>
    <row r="15" spans="1:6" x14ac:dyDescent="0.25">
      <c r="A15" s="4" t="s">
        <v>36</v>
      </c>
      <c r="B15" s="9">
        <v>150</v>
      </c>
      <c r="C15" s="11">
        <v>30</v>
      </c>
      <c r="D15">
        <f>B15+C15</f>
        <v>180</v>
      </c>
      <c r="E15" s="8" t="s">
        <v>37</v>
      </c>
      <c r="F15" s="8" t="s">
        <v>38</v>
      </c>
    </row>
    <row r="16" spans="1:6" x14ac:dyDescent="0.25">
      <c r="A16" s="10" t="s">
        <v>39</v>
      </c>
      <c r="B16" s="14">
        <f>B15/B14</f>
        <v>9.7693351424694708</v>
      </c>
      <c r="C16" s="14">
        <f>C15/C14</f>
        <v>4.0909090909090908</v>
      </c>
      <c r="D16" s="14">
        <f>D15/D14</f>
        <v>13.860244233378559</v>
      </c>
      <c r="E16" s="8" t="s">
        <v>40</v>
      </c>
    </row>
    <row r="17" spans="1:6" x14ac:dyDescent="0.25">
      <c r="A17" s="10" t="s">
        <v>41</v>
      </c>
      <c r="B17" s="14">
        <f>B16*B11</f>
        <v>26.67304356327594</v>
      </c>
      <c r="C17" s="14"/>
      <c r="D17" s="14"/>
      <c r="E17" s="8" t="s">
        <v>26</v>
      </c>
      <c r="F17" t="s">
        <v>42</v>
      </c>
    </row>
    <row r="18" spans="1:6" x14ac:dyDescent="0.25">
      <c r="A18" s="10" t="s">
        <v>43</v>
      </c>
      <c r="B18" s="15">
        <f>B16*B11*B10</f>
        <v>18351.053971533845</v>
      </c>
      <c r="C18" s="15">
        <f>C16*C11*C10</f>
        <v>7684.5038505797984</v>
      </c>
      <c r="D18" s="15">
        <f>D16*D11*D10</f>
        <v>26035.557822113638</v>
      </c>
      <c r="E18" s="8" t="s">
        <v>18</v>
      </c>
    </row>
    <row r="19" spans="1:6" x14ac:dyDescent="0.25">
      <c r="A19" s="4" t="s">
        <v>44</v>
      </c>
      <c r="B19" s="9">
        <v>1</v>
      </c>
      <c r="C19">
        <f>B19</f>
        <v>1</v>
      </c>
      <c r="D19">
        <f>C19</f>
        <v>1</v>
      </c>
      <c r="F19" s="8" t="s">
        <v>45</v>
      </c>
    </row>
    <row r="20" spans="1:6" x14ac:dyDescent="0.25">
      <c r="A20" s="4" t="s">
        <v>46</v>
      </c>
      <c r="B20" s="9">
        <v>90000</v>
      </c>
      <c r="C20">
        <f>2000*C8/C7</f>
        <v>25000</v>
      </c>
      <c r="D20">
        <f>(B15/$D15)*B20+(C15/$D15)*C20</f>
        <v>79166.666666666672</v>
      </c>
      <c r="E20" t="s">
        <v>47</v>
      </c>
      <c r="F20" s="8" t="s">
        <v>48</v>
      </c>
    </row>
    <row r="21" spans="1:6" x14ac:dyDescent="0.25">
      <c r="A21" s="10" t="s">
        <v>49</v>
      </c>
      <c r="B21" s="9">
        <v>0.56999999999999995</v>
      </c>
      <c r="C21" s="9">
        <v>0.12</v>
      </c>
      <c r="F21" s="8" t="s">
        <v>50</v>
      </c>
    </row>
    <row r="22" spans="1:6" x14ac:dyDescent="0.25">
      <c r="A22" s="10" t="s">
        <v>51</v>
      </c>
      <c r="B22" s="9">
        <v>3</v>
      </c>
      <c r="C22" s="9">
        <v>1</v>
      </c>
      <c r="E22" s="8" t="s">
        <v>52</v>
      </c>
      <c r="F22" s="8" t="s">
        <v>53</v>
      </c>
    </row>
    <row r="23" spans="1:6" x14ac:dyDescent="0.25">
      <c r="A23" s="10" t="s">
        <v>54</v>
      </c>
      <c r="B23" s="14">
        <f>B21/B22</f>
        <v>0.18999999999999997</v>
      </c>
      <c r="C23" s="14">
        <f>C21/C22</f>
        <v>0.12</v>
      </c>
      <c r="E23" s="8" t="s">
        <v>55</v>
      </c>
      <c r="F23" s="8" t="s">
        <v>56</v>
      </c>
    </row>
    <row r="24" spans="1:6" x14ac:dyDescent="0.25">
      <c r="A24" s="4" t="s">
        <v>57</v>
      </c>
      <c r="B24" s="14">
        <f>0.05+0.06+B23</f>
        <v>0.3</v>
      </c>
      <c r="C24" s="14">
        <f>0.05+0.06+C23</f>
        <v>0.22999999999999998</v>
      </c>
      <c r="D24">
        <f>(B15/$D15)*B24+(C15/$D15)*C24</f>
        <v>0.28833333333333333</v>
      </c>
      <c r="E24" s="8" t="s">
        <v>55</v>
      </c>
      <c r="F24" s="8" t="s">
        <v>58</v>
      </c>
    </row>
    <row r="25" spans="1:6" ht="15.75" thickBot="1" x14ac:dyDescent="0.3">
      <c r="A25" s="4" t="s">
        <v>59</v>
      </c>
      <c r="B25">
        <f>B19*B20*B24*B14</f>
        <v>414562.5</v>
      </c>
      <c r="C25">
        <f>C19*C20*C24*C14</f>
        <v>42166.666666666664</v>
      </c>
      <c r="D25">
        <f>D19*D20*D24*D14</f>
        <v>296441.38521781703</v>
      </c>
      <c r="E25" s="8" t="s">
        <v>18</v>
      </c>
    </row>
    <row r="26" spans="1:6" ht="15.75" thickBot="1" x14ac:dyDescent="0.3">
      <c r="A26" s="4" t="s">
        <v>60</v>
      </c>
      <c r="B26" s="17">
        <f>B18 + B25</f>
        <v>432913.55397153384</v>
      </c>
      <c r="C26" s="17">
        <f>C18 + C25</f>
        <v>49851.170517246464</v>
      </c>
      <c r="D26" s="17">
        <f>D18 + D25</f>
        <v>322476.94303993066</v>
      </c>
      <c r="E26" s="8" t="s">
        <v>18</v>
      </c>
      <c r="F26" s="8" t="s">
        <v>61</v>
      </c>
    </row>
    <row r="27" spans="1:6" x14ac:dyDescent="0.25">
      <c r="A27" s="10" t="s">
        <v>62</v>
      </c>
      <c r="B27" s="15">
        <f>1/12</f>
        <v>8.3333333333333329E-2</v>
      </c>
      <c r="E27" s="8" t="s">
        <v>63</v>
      </c>
      <c r="F27" s="16" t="s">
        <v>64</v>
      </c>
    </row>
    <row r="28" spans="1:6" x14ac:dyDescent="0.25">
      <c r="A28" s="10" t="s">
        <v>65</v>
      </c>
      <c r="B28" s="15">
        <f>1/B27</f>
        <v>12</v>
      </c>
      <c r="E28" s="8" t="s">
        <v>66</v>
      </c>
    </row>
    <row r="29" spans="1:6" x14ac:dyDescent="0.25">
      <c r="A29" s="10" t="s">
        <v>67</v>
      </c>
      <c r="B29" s="15">
        <f>MAX(B16,B28)*B11*B10</f>
        <v>22541.211295034074</v>
      </c>
      <c r="E29" s="8" t="s">
        <v>18</v>
      </c>
    </row>
    <row r="30" spans="1:6" ht="15.75" thickBot="1" x14ac:dyDescent="0.3">
      <c r="A30" s="10" t="s">
        <v>68</v>
      </c>
      <c r="B30" s="15">
        <f>B19*B20*B24*B15/MAX(B16,B28)</f>
        <v>337500</v>
      </c>
      <c r="E30" s="8" t="s">
        <v>18</v>
      </c>
      <c r="F30" s="16"/>
    </row>
    <row r="31" spans="1:6" ht="15.75" thickBot="1" x14ac:dyDescent="0.3">
      <c r="A31" s="10" t="s">
        <v>69</v>
      </c>
      <c r="B31" s="17">
        <f>B29+B30</f>
        <v>360041.2112950341</v>
      </c>
      <c r="E31" s="8" t="s">
        <v>18</v>
      </c>
      <c r="F31" s="16" t="s">
        <v>70</v>
      </c>
    </row>
    <row r="32" spans="1:6" x14ac:dyDescent="0.25">
      <c r="A32" s="4" t="s">
        <v>71</v>
      </c>
      <c r="B32" s="13">
        <f>MIN(SQRT((B15*MAX(B11*B10,B12))/(B19*B20*B24)),B14)</f>
        <v>3.2304405225794177</v>
      </c>
      <c r="C32" s="13">
        <f>MIN(SQRT((C15*MAX(C11*C10,C12))/(C19*C20*C24)),C14)</f>
        <v>3.1305792834577462</v>
      </c>
      <c r="D32" s="13">
        <f>MIN(SQRT((D15*MAX(D11*D10,D12))/(D19*D20*D24)),D14)</f>
        <v>3.848714078756216</v>
      </c>
      <c r="E32" t="s">
        <v>9</v>
      </c>
      <c r="F32" s="8" t="s">
        <v>72</v>
      </c>
    </row>
    <row r="33" spans="1:6" x14ac:dyDescent="0.25">
      <c r="A33" s="4" t="s">
        <v>73</v>
      </c>
      <c r="B33">
        <f>(B15/B32)*MAX(B11*B10,B14)</f>
        <v>87221.894109644301</v>
      </c>
      <c r="C33">
        <f>(C15/C32)*MAX(C11*C10,C14)</f>
        <v>18000.83087988204</v>
      </c>
      <c r="D33">
        <f>(D15/D32)*MAX(D11*D10,D14)</f>
        <v>87852.244283831125</v>
      </c>
      <c r="E33" s="8" t="s">
        <v>18</v>
      </c>
    </row>
    <row r="34" spans="1:6" ht="15.75" thickBot="1" x14ac:dyDescent="0.3">
      <c r="A34" s="4" t="s">
        <v>74</v>
      </c>
      <c r="B34">
        <f xml:space="preserve"> B19*B24*B20*B32</f>
        <v>87221.894109644272</v>
      </c>
      <c r="C34">
        <f xml:space="preserve"> C19*C24*C20*C32</f>
        <v>18000.83087988204</v>
      </c>
      <c r="D34">
        <f xml:space="preserve"> D19*D24*D20*D32</f>
        <v>87852.244283831125</v>
      </c>
      <c r="E34" s="8" t="s">
        <v>18</v>
      </c>
    </row>
    <row r="35" spans="1:6" ht="15.75" thickBot="1" x14ac:dyDescent="0.3">
      <c r="A35" s="4" t="s">
        <v>75</v>
      </c>
      <c r="B35" s="17">
        <f>B33 + B34</f>
        <v>174443.78821928857</v>
      </c>
      <c r="C35" s="17">
        <f>C33 + C34</f>
        <v>36001.66175976408</v>
      </c>
      <c r="D35" s="17">
        <f>D33 + D34</f>
        <v>175704.48856766225</v>
      </c>
      <c r="E35" s="8" t="s">
        <v>18</v>
      </c>
      <c r="F35" s="8" t="s">
        <v>76</v>
      </c>
    </row>
    <row r="36" spans="1:6" x14ac:dyDescent="0.25">
      <c r="A36" s="10" t="s">
        <v>30</v>
      </c>
      <c r="B36">
        <f>B3*(((B9^2)/8+14)/((B41^(1/7)*B10^(15/29)-7/2)*(B9^2+2*B9+14)))</f>
        <v>1.3495432869883046</v>
      </c>
      <c r="C36">
        <f>C3*(((C9^2)/8+14)/((C41^(1/7)*C10^(15/29)-7/2)*(C9^2+2*C9+14)))</f>
        <v>2.2592969425981475</v>
      </c>
      <c r="E36" s="18" t="s">
        <v>31</v>
      </c>
    </row>
    <row r="37" spans="1:6" x14ac:dyDescent="0.25">
      <c r="A37" s="4" t="s">
        <v>77</v>
      </c>
      <c r="B37">
        <f>B15*MAX(B10*B36,B13/B41)</f>
        <v>139272.86721719304</v>
      </c>
      <c r="C37">
        <f>C15*MAX(C10*C36,C13/C41)</f>
        <v>46631.888895225762</v>
      </c>
      <c r="E37" s="18" t="s">
        <v>18</v>
      </c>
    </row>
    <row r="38" spans="1:6" ht="15.75" thickBot="1" x14ac:dyDescent="0.3">
      <c r="A38" s="4" t="s">
        <v>78</v>
      </c>
      <c r="B38" s="15">
        <f>B19*B20*B24*B41</f>
        <v>22666.854870407191</v>
      </c>
      <c r="C38" s="15">
        <f>C19*C20*C24*C41</f>
        <v>7525.0057134177296</v>
      </c>
      <c r="E38" s="18" t="s">
        <v>18</v>
      </c>
    </row>
    <row r="39" spans="1:6" ht="15.75" thickBot="1" x14ac:dyDescent="0.3">
      <c r="A39" s="10" t="s">
        <v>79</v>
      </c>
      <c r="B39" s="19">
        <f>B37+B38</f>
        <v>161939.72208760024</v>
      </c>
      <c r="C39" s="19">
        <f>C37+C38</f>
        <v>54156.894608643488</v>
      </c>
      <c r="E39" s="18" t="s">
        <v>18</v>
      </c>
      <c r="F39" s="8" t="s">
        <v>80</v>
      </c>
    </row>
    <row r="40" spans="1:6" x14ac:dyDescent="0.25">
      <c r="A40" s="10" t="s">
        <v>81</v>
      </c>
      <c r="B40" s="20">
        <f>MIN(5,650*B9/2000)</f>
        <v>3.6291666666666664</v>
      </c>
      <c r="C40" s="20">
        <f>MIN(5,650*C9/2000)</f>
        <v>1.7333333333333332</v>
      </c>
      <c r="E40" s="18" t="s">
        <v>9</v>
      </c>
      <c r="F40" s="8"/>
    </row>
    <row r="41" spans="1:6" ht="15.75" thickBot="1" x14ac:dyDescent="0.3">
      <c r="A41" s="4" t="s">
        <v>82</v>
      </c>
      <c r="B41">
        <v>0.83951314334841454</v>
      </c>
      <c r="C41">
        <v>1.308696645811779</v>
      </c>
      <c r="E41" t="s">
        <v>9</v>
      </c>
      <c r="F41" s="8" t="s">
        <v>83</v>
      </c>
    </row>
    <row r="42" spans="1:6" ht="15.75" thickBot="1" x14ac:dyDescent="0.3">
      <c r="A42" s="4" t="s">
        <v>84</v>
      </c>
      <c r="B42" s="15">
        <f>MIN(B26,B35,B39)</f>
        <v>161939.72208760024</v>
      </c>
      <c r="C42" s="15">
        <f t="shared" ref="C42:D42" si="1">MIN(C26,C35,C39)</f>
        <v>36001.66175976408</v>
      </c>
      <c r="D42" s="21">
        <f t="shared" si="1"/>
        <v>175704.48856766225</v>
      </c>
      <c r="F42" s="8"/>
    </row>
    <row r="43" spans="1:6" ht="15.75" thickBot="1" x14ac:dyDescent="0.3">
      <c r="B43" s="15"/>
      <c r="C43" s="22" t="s">
        <v>85</v>
      </c>
      <c r="D43" s="15"/>
      <c r="F43" s="8"/>
    </row>
    <row r="44" spans="1:6" ht="15.75" thickBot="1" x14ac:dyDescent="0.3">
      <c r="A44" s="10" t="s">
        <v>86</v>
      </c>
      <c r="B44" s="15"/>
      <c r="C44" s="21">
        <f>B39+C35</f>
        <v>197941.38384736431</v>
      </c>
      <c r="F44" s="8"/>
    </row>
    <row r="45" spans="1:6" ht="15.75" thickBot="1" x14ac:dyDescent="0.3">
      <c r="A45" s="10" t="s">
        <v>87</v>
      </c>
      <c r="B45" s="15"/>
      <c r="D45" s="21">
        <f>C44-D42</f>
        <v>22236.895279702061</v>
      </c>
      <c r="F4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ICA 8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Kay</dc:creator>
  <cp:lastModifiedBy>Michael Kay</cp:lastModifiedBy>
  <dcterms:created xsi:type="dcterms:W3CDTF">2020-02-04T19:00:57Z</dcterms:created>
  <dcterms:modified xsi:type="dcterms:W3CDTF">2020-02-04T19:08:24Z</dcterms:modified>
</cp:coreProperties>
</file>